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2_Replicate _flowrate_LSC_data/CT13/"/>
    </mc:Choice>
  </mc:AlternateContent>
  <xr:revisionPtr revIDLastSave="7" documentId="11_674450977406566AB43A5F1A4C41C45B6E2B88C2" xr6:coauthVersionLast="47" xr6:coauthVersionMax="47" xr10:uidLastSave="{43C7B0FF-4AA7-4A13-97F2-787A33D73DC1}"/>
  <bookViews>
    <workbookView xWindow="28680" yWindow="-120" windowWidth="29040" windowHeight="15840" xr2:uid="{00000000-000D-0000-FFFF-FFFF00000000}"/>
  </bookViews>
  <sheets>
    <sheet name="CT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7" i="1" l="1"/>
  <c r="T7" i="1"/>
  <c r="Q7" i="1"/>
  <c r="M7" i="1"/>
  <c r="AC23" i="1" l="1"/>
  <c r="F3" i="1" l="1"/>
  <c r="F4" i="1"/>
  <c r="F5" i="1"/>
  <c r="F7" i="1"/>
  <c r="F8" i="1"/>
  <c r="F9" i="1"/>
  <c r="F11" i="1"/>
  <c r="F12" i="1"/>
  <c r="H12" i="1" s="1"/>
  <c r="F13" i="1"/>
  <c r="F15" i="1"/>
  <c r="F16" i="1"/>
  <c r="F17" i="1"/>
  <c r="H17" i="1" s="1"/>
  <c r="F6" i="1"/>
  <c r="F10" i="1"/>
  <c r="F14" i="1"/>
  <c r="F2" i="1"/>
  <c r="H2" i="1" s="1"/>
  <c r="AA2" i="1"/>
  <c r="H7" i="1" l="1"/>
  <c r="H14" i="1"/>
  <c r="H16" i="1"/>
  <c r="H11" i="1"/>
  <c r="H5" i="1"/>
  <c r="H10" i="1"/>
  <c r="H15" i="1"/>
  <c r="H9" i="1"/>
  <c r="H4" i="1"/>
  <c r="H6" i="1"/>
  <c r="H13" i="1"/>
  <c r="H8" i="1"/>
  <c r="H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I2" i="1"/>
  <c r="G2" i="1"/>
  <c r="AE3" i="1" l="1"/>
  <c r="AE9" i="1"/>
  <c r="K2" i="1" l="1"/>
  <c r="L2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M2" i="1" l="1"/>
  <c r="T2" i="1" s="1"/>
  <c r="V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K17" i="1" s="1"/>
  <c r="L17" i="1" s="1"/>
  <c r="X2" i="1" l="1"/>
  <c r="N2" i="1"/>
  <c r="Y2" i="1" s="1"/>
  <c r="Z2" i="1" s="1"/>
  <c r="O2" i="1"/>
  <c r="Q2" i="1" s="1"/>
  <c r="M17" i="1"/>
  <c r="AA11" i="1"/>
  <c r="AB11" i="1" s="1"/>
  <c r="AA3" i="1"/>
  <c r="AB3" i="1" s="1"/>
  <c r="AA7" i="1"/>
  <c r="AB7" i="1" s="1"/>
  <c r="AA5" i="1"/>
  <c r="AB5" i="1" s="1"/>
  <c r="AA6" i="1"/>
  <c r="AB6" i="1" s="1"/>
  <c r="AA9" i="1"/>
  <c r="AB9" i="1" s="1"/>
  <c r="AA14" i="1"/>
  <c r="AB14" i="1" s="1"/>
  <c r="AA16" i="1"/>
  <c r="AB16" i="1" s="1"/>
  <c r="AA15" i="1"/>
  <c r="AB15" i="1" s="1"/>
  <c r="AA12" i="1"/>
  <c r="AB12" i="1" s="1"/>
  <c r="AA4" i="1"/>
  <c r="AB4" i="1" s="1"/>
  <c r="AA8" i="1"/>
  <c r="AB8" i="1" s="1"/>
  <c r="AA13" i="1"/>
  <c r="AB13" i="1" s="1"/>
  <c r="AA10" i="1"/>
  <c r="AB10" i="1" s="1"/>
  <c r="AB2" i="1"/>
  <c r="K15" i="1"/>
  <c r="K6" i="1"/>
  <c r="K9" i="1"/>
  <c r="K12" i="1"/>
  <c r="K7" i="1"/>
  <c r="K10" i="1"/>
  <c r="K8" i="1"/>
  <c r="K14" i="1"/>
  <c r="K5" i="1"/>
  <c r="K16" i="1"/>
  <c r="K4" i="1"/>
  <c r="K13" i="1"/>
  <c r="K11" i="1"/>
  <c r="K3" i="1"/>
  <c r="X17" i="1" l="1"/>
  <c r="N17" i="1"/>
  <c r="U2" i="1"/>
  <c r="W2" i="1" s="1"/>
  <c r="L14" i="1"/>
  <c r="M14" i="1"/>
  <c r="L15" i="1"/>
  <c r="M15" i="1"/>
  <c r="L4" i="1"/>
  <c r="M4" i="1"/>
  <c r="L3" i="1"/>
  <c r="M3" i="1"/>
  <c r="P2" i="1"/>
  <c r="L13" i="1"/>
  <c r="M13" i="1"/>
  <c r="L7" i="1"/>
  <c r="L12" i="1"/>
  <c r="M12" i="1"/>
  <c r="L16" i="1"/>
  <c r="M16" i="1"/>
  <c r="L8" i="1"/>
  <c r="M8" i="1"/>
  <c r="L9" i="1"/>
  <c r="M9" i="1"/>
  <c r="O17" i="1"/>
  <c r="L11" i="1"/>
  <c r="M11" i="1"/>
  <c r="L5" i="1"/>
  <c r="M5" i="1"/>
  <c r="L10" i="1"/>
  <c r="M10" i="1"/>
  <c r="L6" i="1"/>
  <c r="M6" i="1"/>
  <c r="X9" i="1" l="1"/>
  <c r="T9" i="1"/>
  <c r="X16" i="1"/>
  <c r="T16" i="1"/>
  <c r="X10" i="1"/>
  <c r="T10" i="1"/>
  <c r="X11" i="1"/>
  <c r="T11" i="1"/>
  <c r="X3" i="1"/>
  <c r="T3" i="1"/>
  <c r="X15" i="1"/>
  <c r="T15" i="1"/>
  <c r="X12" i="1"/>
  <c r="T12" i="1"/>
  <c r="X8" i="1"/>
  <c r="T8" i="1"/>
  <c r="X13" i="1"/>
  <c r="T13" i="1"/>
  <c r="X6" i="1"/>
  <c r="T6" i="1"/>
  <c r="X5" i="1"/>
  <c r="T5" i="1"/>
  <c r="O5" i="1"/>
  <c r="X4" i="1"/>
  <c r="AC4" i="1" s="1"/>
  <c r="T4" i="1"/>
  <c r="N4" i="1"/>
  <c r="Y4" i="1" s="1"/>
  <c r="Z4" i="1" s="1"/>
  <c r="X14" i="1"/>
  <c r="T14" i="1"/>
  <c r="P17" i="1"/>
  <c r="AC16" i="1"/>
  <c r="AC8" i="1"/>
  <c r="AC12" i="1"/>
  <c r="AC13" i="1"/>
  <c r="AC15" i="1"/>
  <c r="AC10" i="1"/>
  <c r="AC11" i="1"/>
  <c r="N6" i="1"/>
  <c r="Y6" i="1" s="1"/>
  <c r="Z6" i="1" s="1"/>
  <c r="O6" i="1"/>
  <c r="Q6" i="1" s="1"/>
  <c r="Q5" i="1"/>
  <c r="N5" i="1"/>
  <c r="N8" i="1"/>
  <c r="Y8" i="1" s="1"/>
  <c r="Z8" i="1" s="1"/>
  <c r="O8" i="1"/>
  <c r="Q8" i="1" s="1"/>
  <c r="O4" i="1"/>
  <c r="Q4" i="1" s="1"/>
  <c r="N12" i="1"/>
  <c r="Y12" i="1" s="1"/>
  <c r="Z12" i="1" s="1"/>
  <c r="O12" i="1"/>
  <c r="Q12" i="1" s="1"/>
  <c r="O13" i="1"/>
  <c r="Q13" i="1" s="1"/>
  <c r="N13" i="1"/>
  <c r="Y13" i="1" s="1"/>
  <c r="Z13" i="1" s="1"/>
  <c r="N3" i="1"/>
  <c r="Y3" i="1" s="1"/>
  <c r="Z3" i="1" s="1"/>
  <c r="O3" i="1"/>
  <c r="Q3" i="1" s="1"/>
  <c r="N14" i="1"/>
  <c r="Y14" i="1" s="1"/>
  <c r="Z14" i="1" s="1"/>
  <c r="O14" i="1"/>
  <c r="Q14" i="1" s="1"/>
  <c r="N10" i="1"/>
  <c r="Y10" i="1" s="1"/>
  <c r="Z10" i="1" s="1"/>
  <c r="O10" i="1"/>
  <c r="Q10" i="1" s="1"/>
  <c r="N11" i="1"/>
  <c r="Y11" i="1" s="1"/>
  <c r="Z11" i="1" s="1"/>
  <c r="O11" i="1"/>
  <c r="Q11" i="1" s="1"/>
  <c r="O9" i="1"/>
  <c r="Q9" i="1" s="1"/>
  <c r="N9" i="1"/>
  <c r="Y9" i="1" s="1"/>
  <c r="Z9" i="1" s="1"/>
  <c r="N15" i="1"/>
  <c r="Y15" i="1" s="1"/>
  <c r="Z15" i="1" s="1"/>
  <c r="O15" i="1"/>
  <c r="Q15" i="1" s="1"/>
  <c r="N16" i="1"/>
  <c r="Y16" i="1" s="1"/>
  <c r="Z16" i="1" s="1"/>
  <c r="O16" i="1"/>
  <c r="Q16" i="1" s="1"/>
  <c r="N7" i="1"/>
  <c r="O7" i="1"/>
  <c r="AC3" i="1"/>
  <c r="AC7" i="1"/>
  <c r="AC5" i="1"/>
  <c r="AC9" i="1"/>
  <c r="AC6" i="1"/>
  <c r="AC2" i="1"/>
  <c r="Y5" i="1" l="1"/>
  <c r="Z5" i="1" s="1"/>
  <c r="P5" i="1"/>
  <c r="Y7" i="1"/>
  <c r="Z7" i="1" s="1"/>
  <c r="P7" i="1"/>
  <c r="U16" i="1"/>
  <c r="U10" i="1"/>
  <c r="U12" i="1"/>
  <c r="U6" i="1"/>
  <c r="U7" i="1"/>
  <c r="U11" i="1"/>
  <c r="U15" i="1"/>
  <c r="U9" i="1"/>
  <c r="U14" i="1"/>
  <c r="U4" i="1"/>
  <c r="U3" i="1"/>
  <c r="W3" i="1" s="1"/>
  <c r="V9" i="1"/>
  <c r="U13" i="1"/>
  <c r="U8" i="1"/>
  <c r="U5" i="1"/>
  <c r="V6" i="1"/>
  <c r="AC14" i="1"/>
  <c r="V4" i="1"/>
  <c r="V12" i="1"/>
  <c r="P11" i="1"/>
  <c r="V11" i="1"/>
  <c r="V7" i="1"/>
  <c r="P9" i="1"/>
  <c r="P6" i="1"/>
  <c r="V10" i="1"/>
  <c r="V5" i="1"/>
  <c r="P12" i="1"/>
  <c r="P4" i="1"/>
  <c r="V3" i="1"/>
  <c r="V16" i="1"/>
  <c r="P15" i="1"/>
  <c r="P16" i="1"/>
  <c r="P10" i="1"/>
  <c r="P3" i="1"/>
  <c r="P13" i="1"/>
  <c r="P14" i="1"/>
  <c r="P8" i="1"/>
  <c r="V8" i="1"/>
  <c r="V14" i="1"/>
  <c r="V15" i="1"/>
  <c r="V13" i="1"/>
  <c r="X23" i="1"/>
  <c r="Y23" i="1" l="1"/>
  <c r="W4" i="1"/>
  <c r="W5" i="1"/>
  <c r="W8" i="1"/>
  <c r="W7" i="1"/>
  <c r="W6" i="1"/>
  <c r="W11" i="1"/>
  <c r="W10" i="1"/>
  <c r="W9" i="1"/>
  <c r="W13" i="1"/>
  <c r="W16" i="1"/>
  <c r="W15" i="1"/>
  <c r="W12" i="1"/>
  <c r="W14" i="1"/>
</calcChain>
</file>

<file path=xl/sharedStrings.xml><?xml version="1.0" encoding="utf-8"?>
<sst xmlns="http://schemas.openxmlformats.org/spreadsheetml/2006/main" count="50" uniqueCount="50">
  <si>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</si>
  <si>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</si>
  <si>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</si>
  <si>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</si>
  <si>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</si>
  <si>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</si>
  <si>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</si>
  <si>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</si>
  <si>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</si>
  <si>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CT13 1 mL</t>
  </si>
  <si>
    <t>CT13 2 mL</t>
  </si>
  <si>
    <t>CT13 3 mL</t>
  </si>
  <si>
    <t>CT13 4 mL</t>
  </si>
  <si>
    <t>CT13 5 mL</t>
  </si>
  <si>
    <t>CT13 6 mL</t>
  </si>
  <si>
    <t>CT13 7 mL</t>
  </si>
  <si>
    <t>CT13 8 mL</t>
  </si>
  <si>
    <t>CT13 9 mL</t>
  </si>
  <si>
    <t>CT13 10 mL</t>
  </si>
  <si>
    <t>CT13 11 mL</t>
  </si>
  <si>
    <t>CT13 12 mL</t>
  </si>
  <si>
    <t>CT13 13 mL</t>
  </si>
  <si>
    <t>CT13 14 mL</t>
  </si>
  <si>
    <t>CT13 15 mL</t>
  </si>
  <si>
    <t>Blk</t>
  </si>
  <si>
    <t>Total Bkgd corrected counts (cpm)</t>
  </si>
  <si>
    <t>Measured counts (cpm)</t>
  </si>
  <si>
    <t>Weight of Eluate (g)</t>
  </si>
  <si>
    <t>Weight Corrected Sr-90 Activity (DPM)</t>
  </si>
  <si>
    <t xml:space="preserve">Cumulative Activity (DPM) </t>
  </si>
  <si>
    <t>1 mL/min</t>
  </si>
  <si>
    <t>Time from 05.06.2018</t>
  </si>
  <si>
    <t>DC factor</t>
  </si>
  <si>
    <t>DC to 05.06.2018</t>
  </si>
  <si>
    <t>Decay constant of sr-90=</t>
  </si>
  <si>
    <t>Total Bkgd corrected counts σ</t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</si>
  <si>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</si>
  <si>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</si>
  <si>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</si>
  <si>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</si>
  <si>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 σ</t>
  </si>
  <si>
    <t>Weight Corrected Sr-90 Activity (DPM) σ</t>
  </si>
  <si>
    <t>Cumulative Activity (DPM) σ</t>
  </si>
  <si>
    <r>
      <t xml:space="preserve">Measured counts % </t>
    </r>
    <r>
      <rPr>
        <sz val="11"/>
        <color theme="1"/>
        <rFont val="Calibri"/>
        <family val="2"/>
      </rPr>
      <t>σ</t>
    </r>
  </si>
  <si>
    <t>σ</t>
  </si>
  <si>
    <t>Activity (bq)</t>
  </si>
  <si>
    <t>Activity (Bq) σ</t>
  </si>
  <si>
    <t>Sr-90 activity recovered</t>
  </si>
  <si>
    <t>Activity (Bq) σ ^2</t>
  </si>
  <si>
    <t>Measured counts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</si>
</sst>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2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22" fontId="0" fillId="0" borderId="1" xfId="0" applyNumberFormat="1" applyBorder="1"/>
    <xf numFmtId="165" fontId="0" fillId="0" borderId="1" xfId="0" applyNumberFormat="1" applyBorder="1"/>
    <xf numFmtId="165" fontId="0" fillId="3" borderId="1" xfId="0" applyNumberFormat="1" applyFill="1" applyBorder="1"/>
    <xf numFmtId="164" fontId="0" fillId="0" borderId="1" xfId="0" applyNumberFormat="1" applyBorder="1"/>
    <xf numFmtId="2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8" xfId="0" applyBorder="1"/>
    <xf numFmtId="0" fontId="0" fillId="3" borderId="8" xfId="0" applyFill="1" applyBorder="1"/>
    <xf numFmtId="165" fontId="0" fillId="0" borderId="8" xfId="0" applyNumberFormat="1" applyBorder="1"/>
    <xf numFmtId="165" fontId="0" fillId="3" borderId="8" xfId="0" applyNumberFormat="1" applyFill="1" applyBorder="1"/>
    <xf numFmtId="164" fontId="0" fillId="0" borderId="8" xfId="0" applyNumberFormat="1" applyBorder="1"/>
    <xf numFmtId="0" fontId="0" fillId="0" borderId="2" xfId="0" applyBorder="1"/>
    <xf numFmtId="0" fontId="0" fillId="0" borderId="9" xfId="0" applyBorder="1"/>
    <xf numFmtId="0" fontId="0" fillId="0" borderId="10" xfId="0" applyBorder="1"/>
    <xf numFmtId="0" fontId="0" fillId="3" borderId="10" xfId="0" applyFill="1" applyBorder="1"/>
    <xf numFmtId="0" fontId="0" fillId="0" borderId="11" xfId="0" applyBorder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8"/>
  <sheetViews>
    <sheetView tabSelected="1" zoomScale="90" zoomScaleNormal="90" workbookViewId="0">
      <selection activeCell="D31" sqref="D31"/>
    </sheetView>
  </sheetViews>
  <sheetFormatPr defaultRowHeight="15" x14ac:dyDescent="0.25"/>
  <cols>
    <col min="1" max="1" width="13.5703125" bestFit="1" customWidth="1"/>
    <col min="2" max="2" width="24.5703125" customWidth="1"/>
    <col min="3" max="3" width="23.28515625" customWidth="1"/>
    <col min="4" max="4" width="22.140625" bestFit="1" customWidth="1"/>
    <col min="5" max="5" width="20" style="3" bestFit="1" customWidth="1"/>
    <col min="6" max="6" width="18" style="3" bestFit="1" customWidth="1"/>
    <col min="7" max="7" width="31.5703125" bestFit="1" customWidth="1"/>
    <col min="8" max="8" width="31.5703125" style="3" customWidth="1"/>
    <col min="9" max="9" width="17.7109375" bestFit="1" customWidth="1"/>
    <col min="10" max="10" width="18.85546875" style="3" bestFit="1" customWidth="1"/>
    <col min="11" max="11" width="17.7109375" customWidth="1"/>
    <col min="12" max="12" width="17.7109375" style="3" customWidth="1"/>
    <col min="13" max="13" width="12.140625" bestFit="1" customWidth="1"/>
    <col min="14" max="14" width="14" style="3" bestFit="1" customWidth="1"/>
    <col min="15" max="15" width="12.140625" bestFit="1" customWidth="1"/>
    <col min="16" max="16" width="13.140625" style="3" bestFit="1" customWidth="1"/>
    <col min="17" max="17" width="12" bestFit="1" customWidth="1"/>
    <col min="18" max="18" width="18.85546875" bestFit="1" customWidth="1"/>
    <col min="19" max="19" width="20.42578125" style="3" bestFit="1" customWidth="1"/>
    <col min="20" max="20" width="35.42578125" bestFit="1" customWidth="1"/>
    <col min="21" max="21" width="35.42578125" style="3" customWidth="1"/>
    <col min="22" max="22" width="25.140625" bestFit="1" customWidth="1"/>
    <col min="23" max="23" width="25.140625" style="3" customWidth="1"/>
    <col min="24" max="24" width="12" customWidth="1"/>
    <col min="25" max="25" width="13.5703125" style="3" bestFit="1" customWidth="1"/>
    <col min="26" max="26" width="13.5703125" style="3" customWidth="1"/>
    <col min="27" max="27" width="20" bestFit="1" customWidth="1"/>
    <col min="28" max="28" width="11.5703125" bestFit="1" customWidth="1"/>
    <col min="29" max="29" width="15.42578125" bestFit="1" customWidth="1"/>
    <col min="30" max="30" width="15.42578125" customWidth="1"/>
    <col min="31" max="31" width="22.140625" bestFit="1" customWidth="1"/>
  </cols>
  <sheetData>
    <row r="1" spans="1:31" ht="15.75" thickBot="1" x14ac:dyDescent="0.3">
      <c r="A1" s="21" t="s">
        <v>2</v>
      </c>
      <c r="B1" s="22" t="s">
        <v>4</v>
      </c>
      <c r="C1" s="23" t="s">
        <v>3</v>
      </c>
      <c r="D1" s="23" t="s">
        <v>26</v>
      </c>
      <c r="E1" s="24" t="s">
        <v>43</v>
      </c>
      <c r="F1" s="24" t="s">
        <v>49</v>
      </c>
      <c r="G1" s="23" t="s">
        <v>25</v>
      </c>
      <c r="H1" s="24" t="s">
        <v>35</v>
      </c>
      <c r="I1" s="23" t="s">
        <v>0</v>
      </c>
      <c r="J1" s="24" t="s">
        <v>37</v>
      </c>
      <c r="K1" s="23" t="s">
        <v>5</v>
      </c>
      <c r="L1" s="24" t="s">
        <v>38</v>
      </c>
      <c r="M1" s="23" t="s">
        <v>6</v>
      </c>
      <c r="N1" s="24" t="s">
        <v>36</v>
      </c>
      <c r="O1" s="23" t="s">
        <v>7</v>
      </c>
      <c r="P1" s="24" t="s">
        <v>39</v>
      </c>
      <c r="Q1" s="23" t="s">
        <v>8</v>
      </c>
      <c r="R1" s="23" t="s">
        <v>27</v>
      </c>
      <c r="S1" s="24" t="s">
        <v>40</v>
      </c>
      <c r="T1" s="23" t="s">
        <v>28</v>
      </c>
      <c r="U1" s="24" t="s">
        <v>41</v>
      </c>
      <c r="V1" s="23" t="s">
        <v>29</v>
      </c>
      <c r="W1" s="24" t="s">
        <v>42</v>
      </c>
      <c r="X1" s="23" t="s">
        <v>45</v>
      </c>
      <c r="Y1" s="24" t="s">
        <v>46</v>
      </c>
      <c r="Z1" s="24" t="s">
        <v>48</v>
      </c>
      <c r="AA1" s="23" t="s">
        <v>31</v>
      </c>
      <c r="AB1" s="23" t="s">
        <v>32</v>
      </c>
      <c r="AC1" s="25" t="s">
        <v>33</v>
      </c>
    </row>
    <row r="2" spans="1:31" x14ac:dyDescent="0.25">
      <c r="A2" s="13" t="s">
        <v>9</v>
      </c>
      <c r="B2" s="14">
        <v>43292.625</v>
      </c>
      <c r="C2" s="15">
        <v>43294.986805555556</v>
      </c>
      <c r="D2" s="16">
        <v>8.15</v>
      </c>
      <c r="E2" s="17">
        <v>6.47</v>
      </c>
      <c r="F2" s="17">
        <f>D2*(E2/100)</f>
        <v>0.52730500000000002</v>
      </c>
      <c r="G2" s="16">
        <f>D2-$D$17</f>
        <v>0.72000000000000064</v>
      </c>
      <c r="H2" s="17">
        <f>SQRT((F2^2)+(F$17^2))</f>
        <v>0.72874592907679425</v>
      </c>
      <c r="I2" s="18">
        <f>(C2-B2)*24</f>
        <v>56.683333333348855</v>
      </c>
      <c r="J2" s="19">
        <f>1/60</f>
        <v>1.6666666666666666E-2</v>
      </c>
      <c r="K2" s="16">
        <f t="shared" ref="K2:K17" si="0">1-EXP(-$AE$3*I2)</f>
        <v>0.47265512479689242</v>
      </c>
      <c r="L2" s="17">
        <f>K2*SQRT(((J2/I2)^2))</f>
        <v>1.3897533807608438E-4</v>
      </c>
      <c r="M2" s="16">
        <f t="shared" ref="M2:M17" si="1">G2/(1+K2)</f>
        <v>0.48891284040403049</v>
      </c>
      <c r="N2" s="17">
        <f t="shared" ref="N2:N17" si="2">M2*SQRT(((H2/G2)^2)+((L2/K2)^2))</f>
        <v>0.49485174604429882</v>
      </c>
      <c r="O2" s="16">
        <f t="shared" ref="O2:O17" si="3">M2*K2</f>
        <v>0.23108715959597018</v>
      </c>
      <c r="P2" s="17">
        <f t="shared" ref="P2:P17" si="4">O2*SQRT(((N2/M2)^2)+((L2/K2)^2))</f>
        <v>0.23389422365188567</v>
      </c>
      <c r="Q2" s="16">
        <f>M2+O2</f>
        <v>0.72000000000000064</v>
      </c>
      <c r="R2" s="16">
        <v>1.04</v>
      </c>
      <c r="S2" s="17">
        <v>1.4142135623730951E-4</v>
      </c>
      <c r="T2" s="16">
        <f t="shared" ref="T2:T16" si="5">M2/R2</f>
        <v>0.47010850038849084</v>
      </c>
      <c r="U2" s="17">
        <f>T2*SQRT(((S2/R2)^2)+((N2/M2)^2))</f>
        <v>0.47581899087531077</v>
      </c>
      <c r="V2" s="16">
        <f>SUM($T$2:T2)</f>
        <v>0.47010850038849084</v>
      </c>
      <c r="W2" s="17">
        <f>SQRT((U2^2))</f>
        <v>0.47581899087531077</v>
      </c>
      <c r="X2" s="16">
        <f t="shared" ref="X2:X17" si="6">M2/60</f>
        <v>8.1485473400671748E-3</v>
      </c>
      <c r="Y2" s="17">
        <f>X2*SQRT(((N2/M2)^2))</f>
        <v>8.2475291007383135E-3</v>
      </c>
      <c r="Z2" s="17">
        <f>Y2^2</f>
        <v>6.8021736267525332E-5</v>
      </c>
      <c r="AA2" s="16">
        <f t="shared" ref="AA2:AA16" si="7">(C2-$AE$6)*24</f>
        <v>83.683333333348855</v>
      </c>
      <c r="AB2" s="20">
        <f t="shared" ref="AB2:AB16" si="8">EXP(-$AE$9*AA2)</f>
        <v>0.99977011114691039</v>
      </c>
      <c r="AC2" s="16">
        <f>X2/AB2</f>
        <v>8.1504210310101907E-3</v>
      </c>
      <c r="AE2" t="s">
        <v>1</v>
      </c>
    </row>
    <row r="3" spans="1:31" x14ac:dyDescent="0.25">
      <c r="A3" s="11" t="s">
        <v>10</v>
      </c>
      <c r="B3" s="10">
        <v>43292.625694444447</v>
      </c>
      <c r="C3" s="6">
        <v>43295.009722222225</v>
      </c>
      <c r="D3" s="4">
        <v>7.81</v>
      </c>
      <c r="E3" s="5">
        <v>6.61</v>
      </c>
      <c r="F3" s="5">
        <f t="shared" ref="F3:F17" si="9">D3*(E3/100)</f>
        <v>0.51624100000000006</v>
      </c>
      <c r="G3" s="4">
        <f t="shared" ref="G3:G17" si="10">D3-$D$17</f>
        <v>0.37999999999999989</v>
      </c>
      <c r="H3" s="5">
        <f>SQRT((F3^2)+(F$17^2))</f>
        <v>0.72078071297864232</v>
      </c>
      <c r="I3" s="7">
        <f t="shared" ref="I3:I17" si="11">(C3-B3)*24</f>
        <v>57.216666666674428</v>
      </c>
      <c r="J3" s="8">
        <f t="shared" ref="J3:J17" si="12">1/60</f>
        <v>1.6666666666666666E-2</v>
      </c>
      <c r="K3" s="4">
        <f t="shared" si="0"/>
        <v>0.47582063559033094</v>
      </c>
      <c r="L3" s="5">
        <f t="shared" ref="L3:L17" si="13">K3*SQRT(((J3/I3)^2))</f>
        <v>1.3860199114193604E-4</v>
      </c>
      <c r="M3" s="4">
        <f t="shared" si="1"/>
        <v>0.2574838641201132</v>
      </c>
      <c r="N3" s="5">
        <f t="shared" si="2"/>
        <v>0.48839317197221105</v>
      </c>
      <c r="O3" s="4">
        <f t="shared" si="3"/>
        <v>0.12251613587988668</v>
      </c>
      <c r="P3" s="5">
        <f t="shared" si="4"/>
        <v>0.23238755224608271</v>
      </c>
      <c r="Q3" s="4">
        <f t="shared" ref="Q3:Q16" si="14">M3+O3</f>
        <v>0.37999999999999989</v>
      </c>
      <c r="R3" s="4">
        <v>1.0408999999999997</v>
      </c>
      <c r="S3" s="5">
        <v>1.4142135623730951E-4</v>
      </c>
      <c r="T3" s="4">
        <f t="shared" si="5"/>
        <v>0.24736657135182369</v>
      </c>
      <c r="U3" s="5">
        <f t="shared" ref="U3:U16" si="15">T3*SQRT(((S3/R3)^2)+((N3/M3)^2))</f>
        <v>0.46920277954183853</v>
      </c>
      <c r="V3" s="4">
        <f>SUM($T$2:T3)</f>
        <v>0.71747507174031455</v>
      </c>
      <c r="W3" s="5">
        <f>SQRT((U3^2)+(U2^2))</f>
        <v>0.66824767893901893</v>
      </c>
      <c r="X3" s="4">
        <f t="shared" si="6"/>
        <v>4.2913977353352204E-3</v>
      </c>
      <c r="Y3" s="5">
        <f t="shared" ref="Y3:Y16" si="16">X3*SQRT(((N3/M3)^2))</f>
        <v>8.1398861995368513E-3</v>
      </c>
      <c r="Z3" s="17">
        <f t="shared" ref="Z3:Z16" si="17">Y3^2</f>
        <v>6.625774734141049E-5</v>
      </c>
      <c r="AA3" s="4">
        <f t="shared" si="7"/>
        <v>84.233333333395422</v>
      </c>
      <c r="AB3" s="9">
        <f t="shared" si="8"/>
        <v>0.99976860040117299</v>
      </c>
      <c r="AC3" s="4">
        <f t="shared" ref="AC3:AC16" si="18">X3/AB3</f>
        <v>4.2923909928889838E-3</v>
      </c>
      <c r="AE3">
        <f>LN(2)/61.4</f>
        <v>1.1289042028663604E-2</v>
      </c>
    </row>
    <row r="4" spans="1:31" x14ac:dyDescent="0.25">
      <c r="A4" s="11" t="s">
        <v>11</v>
      </c>
      <c r="B4" s="10">
        <v>43292.626388888886</v>
      </c>
      <c r="C4" s="6">
        <v>43295.032638888886</v>
      </c>
      <c r="D4" s="4">
        <v>9.41</v>
      </c>
      <c r="E4" s="5">
        <v>6.02</v>
      </c>
      <c r="F4" s="5">
        <f t="shared" si="9"/>
        <v>0.56648199999999993</v>
      </c>
      <c r="G4" s="4">
        <f t="shared" si="10"/>
        <v>1.9800000000000004</v>
      </c>
      <c r="H4" s="5">
        <f t="shared" ref="H4:H17" si="19">SQRT((F4^2)+(F$17^2))</f>
        <v>0.75757634760134895</v>
      </c>
      <c r="I4" s="7">
        <f t="shared" si="11"/>
        <v>57.75</v>
      </c>
      <c r="J4" s="8">
        <f t="shared" si="12"/>
        <v>1.6666666666666666E-2</v>
      </c>
      <c r="K4" s="4">
        <f t="shared" si="0"/>
        <v>0.47896714466581514</v>
      </c>
      <c r="L4" s="5">
        <f t="shared" si="13"/>
        <v>1.3823005618061044E-4</v>
      </c>
      <c r="M4" s="4">
        <f t="shared" si="1"/>
        <v>1.3387721337429694</v>
      </c>
      <c r="N4" s="5">
        <f t="shared" si="2"/>
        <v>0.51223353124760262</v>
      </c>
      <c r="O4" s="4">
        <f t="shared" si="3"/>
        <v>0.64122786625703088</v>
      </c>
      <c r="P4" s="5">
        <f t="shared" si="4"/>
        <v>0.24534310165717693</v>
      </c>
      <c r="Q4" s="4">
        <f t="shared" si="14"/>
        <v>1.9800000000000004</v>
      </c>
      <c r="R4" s="4">
        <v>0.99900000000000055</v>
      </c>
      <c r="S4" s="5">
        <v>1.4142135623730951E-4</v>
      </c>
      <c r="T4" s="4">
        <f t="shared" si="5"/>
        <v>1.3401122459889576</v>
      </c>
      <c r="U4" s="5">
        <f t="shared" si="15"/>
        <v>0.51274631262041814</v>
      </c>
      <c r="V4" s="4">
        <f>SUM($T$2:T4)</f>
        <v>2.0575873177292721</v>
      </c>
      <c r="W4" s="5">
        <f>SQRT((U4^2)+(U3^2)+(U2^2))</f>
        <v>0.84229670634119302</v>
      </c>
      <c r="X4" s="4">
        <f t="shared" si="6"/>
        <v>2.2312868895716157E-2</v>
      </c>
      <c r="Y4" s="5">
        <f t="shared" si="16"/>
        <v>8.5372255207933779E-3</v>
      </c>
      <c r="Z4" s="17">
        <f t="shared" si="17"/>
        <v>7.2884219592885761E-5</v>
      </c>
      <c r="AA4" s="4">
        <f t="shared" si="7"/>
        <v>84.783333333267365</v>
      </c>
      <c r="AB4" s="9">
        <f t="shared" si="8"/>
        <v>0.99976708965771877</v>
      </c>
      <c r="AC4" s="4">
        <f t="shared" si="18"/>
        <v>2.2318067004341195E-2</v>
      </c>
    </row>
    <row r="5" spans="1:31" x14ac:dyDescent="0.25">
      <c r="A5" s="11" t="s">
        <v>12</v>
      </c>
      <c r="B5" s="10">
        <v>43292.627083333333</v>
      </c>
      <c r="C5" s="6">
        <v>43295.054861111108</v>
      </c>
      <c r="D5" s="4">
        <v>9.3800000000000008</v>
      </c>
      <c r="E5" s="5">
        <v>6.03</v>
      </c>
      <c r="F5" s="5">
        <f t="shared" si="9"/>
        <v>0.56561400000000006</v>
      </c>
      <c r="G5" s="4">
        <f t="shared" si="10"/>
        <v>1.9500000000000011</v>
      </c>
      <c r="H5" s="5">
        <f t="shared" si="19"/>
        <v>0.75692751510101686</v>
      </c>
      <c r="I5" s="7">
        <f t="shared" si="11"/>
        <v>58.266666666604578</v>
      </c>
      <c r="J5" s="8">
        <f t="shared" si="12"/>
        <v>1.6666666666666666E-2</v>
      </c>
      <c r="K5" s="4">
        <f t="shared" si="0"/>
        <v>0.48199731268506019</v>
      </c>
      <c r="L5" s="5">
        <f t="shared" si="13"/>
        <v>1.3787108486429457E-4</v>
      </c>
      <c r="M5" s="4">
        <f t="shared" si="1"/>
        <v>1.3157918596134432</v>
      </c>
      <c r="N5" s="5">
        <f t="shared" si="2"/>
        <v>0.5107483759494259</v>
      </c>
      <c r="O5" s="4">
        <f t="shared" si="3"/>
        <v>0.6342081403865576</v>
      </c>
      <c r="P5" s="5">
        <f t="shared" si="4"/>
        <v>0.24617941150629294</v>
      </c>
      <c r="Q5" s="4">
        <f t="shared" si="14"/>
        <v>1.9500000000000008</v>
      </c>
      <c r="R5" s="4">
        <v>0.85189999999999966</v>
      </c>
      <c r="S5" s="5">
        <v>1.4142135623730951E-4</v>
      </c>
      <c r="T5" s="4">
        <f t="shared" si="5"/>
        <v>1.5445379265329777</v>
      </c>
      <c r="U5" s="5">
        <f t="shared" si="15"/>
        <v>0.59954034823019642</v>
      </c>
      <c r="V5" s="4">
        <f>SUM($T$2:T5)</f>
        <v>3.6021252442622496</v>
      </c>
      <c r="W5" s="5">
        <f>SQRT((U5^2)+(U4^2)+(U3^2)+(U2^2))</f>
        <v>1.0338821841337662</v>
      </c>
      <c r="X5" s="4">
        <f t="shared" si="6"/>
        <v>2.192986432689072E-2</v>
      </c>
      <c r="Y5" s="5">
        <f t="shared" si="16"/>
        <v>8.5124729324904305E-3</v>
      </c>
      <c r="Z5" s="17">
        <f t="shared" si="17"/>
        <v>7.2462195426382229E-5</v>
      </c>
      <c r="AA5" s="4">
        <f t="shared" si="7"/>
        <v>85.316666666592937</v>
      </c>
      <c r="AB5" s="9">
        <f t="shared" si="8"/>
        <v>0.99976562469654917</v>
      </c>
      <c r="AC5" s="4">
        <f t="shared" si="18"/>
        <v>2.1935005350425921E-2</v>
      </c>
    </row>
    <row r="6" spans="1:31" x14ac:dyDescent="0.25">
      <c r="A6" s="11" t="s">
        <v>13</v>
      </c>
      <c r="B6" s="10">
        <v>43292.62777777778</v>
      </c>
      <c r="C6" s="6">
        <v>43295.077777777777</v>
      </c>
      <c r="D6" s="4">
        <v>88.23</v>
      </c>
      <c r="E6" s="5">
        <v>1.97</v>
      </c>
      <c r="F6" s="5">
        <f t="shared" si="9"/>
        <v>1.7381309999999999</v>
      </c>
      <c r="G6" s="4">
        <f t="shared" si="10"/>
        <v>80.800000000000011</v>
      </c>
      <c r="H6" s="5">
        <f t="shared" si="19"/>
        <v>1.8094528010650068</v>
      </c>
      <c r="I6" s="7">
        <f t="shared" si="11"/>
        <v>58.799999999930151</v>
      </c>
      <c r="J6" s="8">
        <f t="shared" si="12"/>
        <v>1.6666666666666666E-2</v>
      </c>
      <c r="K6" s="4">
        <f t="shared" si="0"/>
        <v>0.48510674481350191</v>
      </c>
      <c r="L6" s="5">
        <f t="shared" si="13"/>
        <v>1.3750191179537363E-4</v>
      </c>
      <c r="M6" s="4">
        <f t="shared" si="1"/>
        <v>54.406863535015987</v>
      </c>
      <c r="N6" s="5">
        <f t="shared" si="2"/>
        <v>1.2184967455027731</v>
      </c>
      <c r="O6" s="4">
        <f t="shared" si="3"/>
        <v>26.393136464984021</v>
      </c>
      <c r="P6" s="5">
        <f t="shared" si="4"/>
        <v>0.59114832841719234</v>
      </c>
      <c r="Q6" s="4">
        <f t="shared" si="14"/>
        <v>80.800000000000011</v>
      </c>
      <c r="R6" s="4">
        <v>0.80949999999999989</v>
      </c>
      <c r="S6" s="5">
        <v>1.4142135623730951E-4</v>
      </c>
      <c r="T6" s="4">
        <f t="shared" si="5"/>
        <v>67.210455262527475</v>
      </c>
      <c r="U6" s="5">
        <f t="shared" si="15"/>
        <v>1.5052919298569423</v>
      </c>
      <c r="V6" s="4">
        <f>SUM($T$2:T6)</f>
        <v>70.812580506789729</v>
      </c>
      <c r="W6" s="5">
        <f>SQRT((U6^2)+(U5^2)+(U4^2)+(U3^2)+(U2^2))</f>
        <v>1.8261479033094894</v>
      </c>
      <c r="X6" s="4">
        <f t="shared" si="6"/>
        <v>0.90678105891693306</v>
      </c>
      <c r="Y6" s="5">
        <f t="shared" si="16"/>
        <v>2.0308279091712882E-2</v>
      </c>
      <c r="Z6" s="17">
        <f t="shared" si="17"/>
        <v>4.1242619966690261E-4</v>
      </c>
      <c r="AA6" s="4">
        <f t="shared" si="7"/>
        <v>85.866666666639503</v>
      </c>
      <c r="AB6" s="9">
        <f t="shared" si="8"/>
        <v>0.99976411395759113</v>
      </c>
      <c r="AC6" s="4">
        <f t="shared" si="18"/>
        <v>0.9069950063794725</v>
      </c>
      <c r="AE6" s="1">
        <v>43291.5</v>
      </c>
    </row>
    <row r="7" spans="1:31" x14ac:dyDescent="0.25">
      <c r="A7" s="11" t="s">
        <v>14</v>
      </c>
      <c r="B7" s="10">
        <v>43292.628472222219</v>
      </c>
      <c r="C7" s="6">
        <v>43295.100694444445</v>
      </c>
      <c r="D7" s="4">
        <v>446.28</v>
      </c>
      <c r="E7" s="5">
        <v>0.87</v>
      </c>
      <c r="F7" s="5">
        <f t="shared" si="9"/>
        <v>3.8826359999999993</v>
      </c>
      <c r="G7" s="4">
        <f t="shared" si="10"/>
        <v>438.84999999999997</v>
      </c>
      <c r="H7" s="5">
        <f t="shared" si="19"/>
        <v>3.9150839549895982</v>
      </c>
      <c r="I7" s="7">
        <f t="shared" si="11"/>
        <v>59.333333333430346</v>
      </c>
      <c r="J7" s="8">
        <f t="shared" si="12"/>
        <v>1.6666666666666666E-2</v>
      </c>
      <c r="K7" s="4">
        <f t="shared" si="0"/>
        <v>0.48819751185028393</v>
      </c>
      <c r="L7" s="5">
        <f t="shared" si="13"/>
        <v>1.3713413254199037E-4</v>
      </c>
      <c r="M7" s="4">
        <f>G7/(1+K7)</f>
        <v>294.88693302166286</v>
      </c>
      <c r="N7" s="5">
        <f t="shared" si="2"/>
        <v>2.6320593571906796</v>
      </c>
      <c r="O7" s="4">
        <f t="shared" si="3"/>
        <v>143.96306697833714</v>
      </c>
      <c r="P7" s="5">
        <f t="shared" si="4"/>
        <v>1.285600999617323</v>
      </c>
      <c r="Q7" s="4">
        <f>M7+O7</f>
        <v>438.85</v>
      </c>
      <c r="R7" s="4">
        <v>0.83760000000000012</v>
      </c>
      <c r="S7" s="5">
        <v>1.4142135623730951E-4</v>
      </c>
      <c r="T7" s="4">
        <f>M7/R7</f>
        <v>352.06176339740068</v>
      </c>
      <c r="U7" s="5">
        <f t="shared" si="15"/>
        <v>3.1429444001280089</v>
      </c>
      <c r="V7" s="4">
        <f>SUM($T$2:T7)</f>
        <v>422.87434390419043</v>
      </c>
      <c r="W7" s="5">
        <f>SQRT((U7^2)+(U6^2)+(U5^2)+(U4^2)+(U3^2)+(U2^2))</f>
        <v>3.6349574505154325</v>
      </c>
      <c r="X7" s="4">
        <f>M7/60</f>
        <v>4.9147822170277147</v>
      </c>
      <c r="Y7" s="5">
        <f t="shared" si="16"/>
        <v>4.3867655953178E-2</v>
      </c>
      <c r="Z7" s="17">
        <f t="shared" si="17"/>
        <v>1.9243712388263931E-3</v>
      </c>
      <c r="AA7" s="4">
        <f t="shared" si="7"/>
        <v>86.416666666686069</v>
      </c>
      <c r="AB7" s="9">
        <f t="shared" si="8"/>
        <v>0.99976260322091592</v>
      </c>
      <c r="AC7" s="4">
        <f t="shared" si="18"/>
        <v>4.9159492475452229</v>
      </c>
    </row>
    <row r="8" spans="1:31" x14ac:dyDescent="0.25">
      <c r="A8" s="11" t="s">
        <v>15</v>
      </c>
      <c r="B8" s="10">
        <v>43292.629166666666</v>
      </c>
      <c r="C8" s="6">
        <v>43295.123611111114</v>
      </c>
      <c r="D8" s="4">
        <v>282.08</v>
      </c>
      <c r="E8" s="5">
        <v>1.1000000000000001</v>
      </c>
      <c r="F8" s="5">
        <f t="shared" si="9"/>
        <v>3.1028800000000003</v>
      </c>
      <c r="G8" s="4">
        <f t="shared" si="10"/>
        <v>274.64999999999998</v>
      </c>
      <c r="H8" s="5">
        <f t="shared" si="19"/>
        <v>3.1433874022336159</v>
      </c>
      <c r="I8" s="7">
        <f t="shared" si="11"/>
        <v>59.866666666755918</v>
      </c>
      <c r="J8" s="8">
        <f t="shared" si="12"/>
        <v>1.6666666666666666E-2</v>
      </c>
      <c r="K8" s="4">
        <f t="shared" si="0"/>
        <v>0.49126972583496076</v>
      </c>
      <c r="L8" s="5">
        <f t="shared" si="13"/>
        <v>1.367677410451638E-4</v>
      </c>
      <c r="M8" s="4">
        <f t="shared" si="1"/>
        <v>184.1719142029948</v>
      </c>
      <c r="N8" s="5">
        <f t="shared" si="2"/>
        <v>2.1084832329149195</v>
      </c>
      <c r="O8" s="4">
        <f t="shared" si="3"/>
        <v>90.478085797005164</v>
      </c>
      <c r="P8" s="5">
        <f t="shared" si="4"/>
        <v>1.0361401971254267</v>
      </c>
      <c r="Q8" s="4">
        <f t="shared" si="14"/>
        <v>274.64999999999998</v>
      </c>
      <c r="R8" s="4">
        <v>0.82859999999999978</v>
      </c>
      <c r="S8" s="5">
        <v>1.4142135623730951E-4</v>
      </c>
      <c r="T8" s="4">
        <f t="shared" si="5"/>
        <v>222.26878373520981</v>
      </c>
      <c r="U8" s="5">
        <f t="shared" si="15"/>
        <v>2.5449161570400465</v>
      </c>
      <c r="V8" s="4">
        <f>SUM($T$2:T8)</f>
        <v>645.14312763940029</v>
      </c>
      <c r="W8" s="5">
        <f>SQRT((U8^2)+(U7^2)+(U6^2)+(U5^2)+(U4^2)+(U3^2)+(U2^2))</f>
        <v>4.4372867738541686</v>
      </c>
      <c r="X8" s="4">
        <f t="shared" si="6"/>
        <v>3.0695319033832464</v>
      </c>
      <c r="Y8" s="5">
        <f t="shared" si="16"/>
        <v>3.5141387215248655E-2</v>
      </c>
      <c r="Z8" s="17">
        <f t="shared" si="17"/>
        <v>1.2349170954120416E-3</v>
      </c>
      <c r="AA8" s="4">
        <f t="shared" si="7"/>
        <v>86.966666666732635</v>
      </c>
      <c r="AB8" s="9">
        <f t="shared" si="8"/>
        <v>0.99976109248652356</v>
      </c>
      <c r="AC8" s="4">
        <f t="shared" si="18"/>
        <v>3.0702654128587454</v>
      </c>
      <c r="AE8" t="s">
        <v>34</v>
      </c>
    </row>
    <row r="9" spans="1:31" x14ac:dyDescent="0.25">
      <c r="A9" s="11" t="s">
        <v>16</v>
      </c>
      <c r="B9" s="10">
        <v>43292.629861111112</v>
      </c>
      <c r="C9" s="6">
        <v>43295.146527777775</v>
      </c>
      <c r="D9" s="4">
        <v>89.05</v>
      </c>
      <c r="E9" s="5">
        <v>1.96</v>
      </c>
      <c r="F9" s="5">
        <f t="shared" si="9"/>
        <v>1.7453799999999999</v>
      </c>
      <c r="G9" s="4">
        <f t="shared" si="10"/>
        <v>81.62</v>
      </c>
      <c r="H9" s="5">
        <f t="shared" si="19"/>
        <v>1.8164171906588529</v>
      </c>
      <c r="I9" s="7">
        <f t="shared" si="11"/>
        <v>60.399999999906868</v>
      </c>
      <c r="J9" s="8">
        <f t="shared" si="12"/>
        <v>1.6666666666666666E-2</v>
      </c>
      <c r="K9" s="4">
        <f t="shared" si="0"/>
        <v>0.49432349813657361</v>
      </c>
      <c r="L9" s="5">
        <f t="shared" si="13"/>
        <v>1.3640273127409928E-4</v>
      </c>
      <c r="M9" s="4">
        <f t="shared" si="1"/>
        <v>54.620033815823959</v>
      </c>
      <c r="N9" s="5">
        <f t="shared" si="2"/>
        <v>1.2156382571348388</v>
      </c>
      <c r="O9" s="4">
        <f t="shared" si="3"/>
        <v>26.999966184176042</v>
      </c>
      <c r="P9" s="5">
        <f t="shared" si="4"/>
        <v>0.6009647393334604</v>
      </c>
      <c r="Q9" s="4">
        <f t="shared" si="14"/>
        <v>81.62</v>
      </c>
      <c r="R9" s="4">
        <v>0.81829999999999981</v>
      </c>
      <c r="S9" s="5">
        <v>1.4142135623730951E-4</v>
      </c>
      <c r="T9" s="4">
        <f t="shared" si="5"/>
        <v>66.748177704783046</v>
      </c>
      <c r="U9" s="5">
        <f t="shared" si="15"/>
        <v>1.4856102977192081</v>
      </c>
      <c r="V9" s="4">
        <f>SUM($T$2:T9)</f>
        <v>711.89130534418337</v>
      </c>
      <c r="W9" s="5">
        <f>SQRT((U9^2)+(U8^2)+(U7^2)+(U6^2)+(U5^2)+(U4^2)+(U3^2)+(U2^2))</f>
        <v>4.6793751580857981</v>
      </c>
      <c r="X9" s="4">
        <f t="shared" si="6"/>
        <v>0.91033389693039934</v>
      </c>
      <c r="Y9" s="5">
        <f t="shared" si="16"/>
        <v>2.0260637618913981E-2</v>
      </c>
      <c r="Z9" s="17">
        <f t="shared" si="17"/>
        <v>4.1049343672495237E-4</v>
      </c>
      <c r="AA9" s="4">
        <f t="shared" si="7"/>
        <v>87.516666666604578</v>
      </c>
      <c r="AB9" s="9">
        <f t="shared" si="8"/>
        <v>0.99975958175441459</v>
      </c>
      <c r="AC9" s="4">
        <f t="shared" si="18"/>
        <v>0.91055281043959813</v>
      </c>
      <c r="AE9">
        <f>LN(2)/252288</f>
        <v>2.7474441137110973E-6</v>
      </c>
    </row>
    <row r="10" spans="1:31" x14ac:dyDescent="0.25">
      <c r="A10" s="11" t="s">
        <v>17</v>
      </c>
      <c r="B10" s="10">
        <v>43292.630555555559</v>
      </c>
      <c r="C10" s="6">
        <v>43295.168749999997</v>
      </c>
      <c r="D10" s="4">
        <v>32.409999999999997</v>
      </c>
      <c r="E10" s="5">
        <v>3.24</v>
      </c>
      <c r="F10" s="5">
        <f t="shared" si="9"/>
        <v>1.050084</v>
      </c>
      <c r="G10" s="4">
        <f t="shared" si="10"/>
        <v>24.979999999999997</v>
      </c>
      <c r="H10" s="5">
        <f t="shared" si="19"/>
        <v>1.1643437950953319</v>
      </c>
      <c r="I10" s="7">
        <f t="shared" si="11"/>
        <v>60.916666666511446</v>
      </c>
      <c r="J10" s="8">
        <f t="shared" si="12"/>
        <v>1.6666666666666666E-2</v>
      </c>
      <c r="K10" s="4">
        <f t="shared" si="0"/>
        <v>0.49726435829221094</v>
      </c>
      <c r="L10" s="5">
        <f t="shared" si="13"/>
        <v>1.3605044002557538E-4</v>
      </c>
      <c r="M10" s="4">
        <f t="shared" si="1"/>
        <v>16.683760527427729</v>
      </c>
      <c r="N10" s="5">
        <f t="shared" si="2"/>
        <v>0.77766083657412166</v>
      </c>
      <c r="O10" s="4">
        <f t="shared" si="3"/>
        <v>8.2962394725722692</v>
      </c>
      <c r="P10" s="5">
        <f t="shared" si="4"/>
        <v>0.38670967843654364</v>
      </c>
      <c r="Q10" s="4">
        <f t="shared" si="14"/>
        <v>24.979999999999997</v>
      </c>
      <c r="R10" s="4">
        <v>0.82489999999999952</v>
      </c>
      <c r="S10" s="5">
        <v>1.4142135623730951E-4</v>
      </c>
      <c r="T10" s="4">
        <f t="shared" si="5"/>
        <v>20.225191571618062</v>
      </c>
      <c r="U10" s="5">
        <f t="shared" si="15"/>
        <v>0.94273984321634008</v>
      </c>
      <c r="V10" s="4">
        <f>SUM($T$2:T10)</f>
        <v>732.11649691580146</v>
      </c>
      <c r="W10" s="5">
        <f>SQRT((U10^2)+(U9^2)+(U8^2)+(U7^2)+(U6^2)+(U5^2)+(U4^2)+(U3^2)+(U2^2))</f>
        <v>4.7733960952447738</v>
      </c>
      <c r="X10" s="4">
        <f t="shared" si="6"/>
        <v>0.27806267545712882</v>
      </c>
      <c r="Y10" s="5">
        <f t="shared" si="16"/>
        <v>1.2961013942902028E-2</v>
      </c>
      <c r="Z10" s="17">
        <f t="shared" si="17"/>
        <v>1.6798788242810075E-4</v>
      </c>
      <c r="AA10" s="4">
        <f t="shared" si="7"/>
        <v>88.049999999930151</v>
      </c>
      <c r="AB10" s="9">
        <f t="shared" si="8"/>
        <v>0.99975811680424631</v>
      </c>
      <c r="AC10" s="4">
        <f t="shared" si="18"/>
        <v>0.27812995041837085</v>
      </c>
    </row>
    <row r="11" spans="1:31" x14ac:dyDescent="0.25">
      <c r="A11" s="11" t="s">
        <v>18</v>
      </c>
      <c r="B11" s="10">
        <v>43292.631249999999</v>
      </c>
      <c r="C11" s="6">
        <v>43295.191666666666</v>
      </c>
      <c r="D11" s="4">
        <v>15.08</v>
      </c>
      <c r="E11" s="5">
        <v>4.76</v>
      </c>
      <c r="F11" s="5">
        <f t="shared" si="9"/>
        <v>0.717808</v>
      </c>
      <c r="G11" s="4">
        <f t="shared" si="10"/>
        <v>7.65</v>
      </c>
      <c r="H11" s="5">
        <f t="shared" si="19"/>
        <v>0.87650920758711937</v>
      </c>
      <c r="I11" s="7">
        <f t="shared" si="11"/>
        <v>61.450000000011642</v>
      </c>
      <c r="J11" s="8">
        <f t="shared" si="12"/>
        <v>1.6666666666666666E-2</v>
      </c>
      <c r="K11" s="4">
        <f t="shared" si="0"/>
        <v>0.50028214641422286</v>
      </c>
      <c r="L11" s="5">
        <f t="shared" si="13"/>
        <v>1.3568813301169735E-4</v>
      </c>
      <c r="M11" s="4">
        <f t="shared" si="1"/>
        <v>5.0990408825993327</v>
      </c>
      <c r="N11" s="5">
        <f t="shared" si="2"/>
        <v>0.58423121641640974</v>
      </c>
      <c r="O11" s="4">
        <f t="shared" si="3"/>
        <v>2.5509591174006676</v>
      </c>
      <c r="P11" s="5">
        <f t="shared" si="4"/>
        <v>0.29228126585002057</v>
      </c>
      <c r="Q11" s="4">
        <f t="shared" si="14"/>
        <v>7.65</v>
      </c>
      <c r="R11" s="4">
        <v>0.81519999999999992</v>
      </c>
      <c r="S11" s="5">
        <v>1.4142135623730951E-4</v>
      </c>
      <c r="T11" s="4">
        <f t="shared" si="5"/>
        <v>6.2549569217361789</v>
      </c>
      <c r="U11" s="5">
        <f t="shared" si="15"/>
        <v>0.71667306929676111</v>
      </c>
      <c r="V11" s="4">
        <f>SUM($T$2:T11)</f>
        <v>738.37145383753762</v>
      </c>
      <c r="W11" s="5">
        <f>SQRT((U11^2)+(U10^2)+(U9^2)+(U8^2)+(U7^2)+(U6^2)+(U5^2)+(U4^2)+(U3^2)+(U2^2))</f>
        <v>4.8268965775489008</v>
      </c>
      <c r="X11" s="4">
        <f t="shared" si="6"/>
        <v>8.4984014709988884E-2</v>
      </c>
      <c r="Y11" s="5">
        <f t="shared" si="16"/>
        <v>9.7371869402734963E-3</v>
      </c>
      <c r="Z11" s="17">
        <f t="shared" si="17"/>
        <v>9.4812809509832728E-5</v>
      </c>
      <c r="AA11" s="4">
        <f t="shared" si="7"/>
        <v>88.599999999976717</v>
      </c>
      <c r="AB11" s="9">
        <f t="shared" si="8"/>
        <v>0.99975660607663341</v>
      </c>
      <c r="AC11" s="4">
        <f t="shared" si="18"/>
        <v>8.5004704338482437E-2</v>
      </c>
    </row>
    <row r="12" spans="1:31" x14ac:dyDescent="0.25">
      <c r="A12" s="11" t="s">
        <v>19</v>
      </c>
      <c r="B12" s="10">
        <v>43292.631944444445</v>
      </c>
      <c r="C12" s="6">
        <v>43295.214583333334</v>
      </c>
      <c r="D12" s="4">
        <v>10.81</v>
      </c>
      <c r="E12" s="5">
        <v>5.62</v>
      </c>
      <c r="F12" s="5">
        <f t="shared" si="9"/>
        <v>0.60752200000000001</v>
      </c>
      <c r="G12" s="4">
        <f t="shared" si="10"/>
        <v>3.3800000000000008</v>
      </c>
      <c r="H12" s="5">
        <f t="shared" si="19"/>
        <v>0.78873509279415221</v>
      </c>
      <c r="I12" s="7">
        <f t="shared" si="11"/>
        <v>61.983333333337214</v>
      </c>
      <c r="J12" s="8">
        <f t="shared" si="12"/>
        <v>1.6666666666666666E-2</v>
      </c>
      <c r="K12" s="4">
        <f t="shared" si="0"/>
        <v>0.50328181955713625</v>
      </c>
      <c r="L12" s="5">
        <f t="shared" si="13"/>
        <v>1.35327189985777E-4</v>
      </c>
      <c r="M12" s="4">
        <f t="shared" si="1"/>
        <v>2.2484140738133465</v>
      </c>
      <c r="N12" s="5">
        <f t="shared" si="2"/>
        <v>0.52467581670797325</v>
      </c>
      <c r="O12" s="4">
        <f t="shared" si="3"/>
        <v>1.1315859261866543</v>
      </c>
      <c r="P12" s="5">
        <f t="shared" si="4"/>
        <v>0.26405997501379486</v>
      </c>
      <c r="Q12" s="4">
        <f t="shared" si="14"/>
        <v>3.3800000000000008</v>
      </c>
      <c r="R12" s="4">
        <v>0.82859999999999978</v>
      </c>
      <c r="S12" s="5">
        <v>1.4142135623730951E-4</v>
      </c>
      <c r="T12" s="4">
        <f t="shared" si="5"/>
        <v>2.7135096232359968</v>
      </c>
      <c r="U12" s="5">
        <f t="shared" si="15"/>
        <v>0.63320776857928063</v>
      </c>
      <c r="V12" s="4">
        <f>SUM($T$2:T12)</f>
        <v>741.08496346077357</v>
      </c>
      <c r="W12" s="5">
        <f>SQRT((U12^2)+(U11^2)+(U10^2)+(U9^2)+(U8^2)+(U7^2)+(U6^2)+(U5^2)+(U4^2)+(U3^2)+(U2^2))</f>
        <v>4.8682525251410746</v>
      </c>
      <c r="X12" s="4">
        <f t="shared" si="6"/>
        <v>3.7473567896889111E-2</v>
      </c>
      <c r="Y12" s="5">
        <f t="shared" si="16"/>
        <v>8.7445969451328872E-3</v>
      </c>
      <c r="Z12" s="17">
        <f t="shared" si="17"/>
        <v>7.6467975732827419E-5</v>
      </c>
      <c r="AA12" s="4">
        <f t="shared" si="7"/>
        <v>89.150000000023283</v>
      </c>
      <c r="AB12" s="9">
        <f t="shared" si="8"/>
        <v>0.99975509535130325</v>
      </c>
      <c r="AC12" s="4">
        <f t="shared" si="18"/>
        <v>3.7482747596021306E-2</v>
      </c>
    </row>
    <row r="13" spans="1:31" x14ac:dyDescent="0.25">
      <c r="A13" s="11" t="s">
        <v>20</v>
      </c>
      <c r="B13" s="10">
        <v>43292.632638888892</v>
      </c>
      <c r="C13" s="6">
        <v>43295.237500000003</v>
      </c>
      <c r="D13" s="4">
        <v>10.71</v>
      </c>
      <c r="E13" s="5">
        <v>5.64</v>
      </c>
      <c r="F13" s="5">
        <f t="shared" si="9"/>
        <v>0.60404400000000003</v>
      </c>
      <c r="G13" s="4">
        <f t="shared" si="10"/>
        <v>3.2800000000000011</v>
      </c>
      <c r="H13" s="5">
        <f t="shared" si="19"/>
        <v>0.7860592980539064</v>
      </c>
      <c r="I13" s="7">
        <f t="shared" si="11"/>
        <v>62.516666666662786</v>
      </c>
      <c r="J13" s="8">
        <f t="shared" si="12"/>
        <v>1.6666666666666666E-2</v>
      </c>
      <c r="K13" s="4">
        <f t="shared" si="0"/>
        <v>0.50626348646132957</v>
      </c>
      <c r="L13" s="5">
        <f t="shared" si="13"/>
        <v>1.3496760502835535E-4</v>
      </c>
      <c r="M13" s="4">
        <f t="shared" si="1"/>
        <v>2.1775738637240138</v>
      </c>
      <c r="N13" s="5">
        <f t="shared" si="2"/>
        <v>0.52186074447844522</v>
      </c>
      <c r="O13" s="4">
        <f t="shared" si="3"/>
        <v>1.1024261362759875</v>
      </c>
      <c r="P13" s="5">
        <f t="shared" si="4"/>
        <v>0.26419920341901254</v>
      </c>
      <c r="Q13" s="4">
        <f t="shared" si="14"/>
        <v>3.2800000000000011</v>
      </c>
      <c r="R13" s="4">
        <v>0.8030999999999997</v>
      </c>
      <c r="S13" s="5">
        <v>1.4142135623730951E-4</v>
      </c>
      <c r="T13" s="4">
        <f t="shared" si="5"/>
        <v>2.7114604205254822</v>
      </c>
      <c r="U13" s="5">
        <f t="shared" si="15"/>
        <v>0.64980810031037095</v>
      </c>
      <c r="V13" s="4">
        <f>SUM($T$2:T13)</f>
        <v>743.79642388129901</v>
      </c>
      <c r="W13" s="5">
        <f>SQRT((U13^2)+(U12^2)+(U11^2)+(U10^2)+(U9^2)+(U8^2)+(U7^2)+(U6^2)+(U5^2)+(U4^2)+(U3^2)+(U2^2))</f>
        <v>4.9114288364763485</v>
      </c>
      <c r="X13" s="4">
        <f t="shared" si="6"/>
        <v>3.6292897728733564E-2</v>
      </c>
      <c r="Y13" s="5">
        <f t="shared" si="16"/>
        <v>8.6976790746407535E-3</v>
      </c>
      <c r="Z13" s="17">
        <f t="shared" si="17"/>
        <v>7.5649621285443631E-5</v>
      </c>
      <c r="AA13" s="4">
        <f t="shared" si="7"/>
        <v>89.700000000069849</v>
      </c>
      <c r="AB13" s="9">
        <f t="shared" si="8"/>
        <v>0.99975358462825603</v>
      </c>
      <c r="AC13" s="4">
        <f t="shared" si="18"/>
        <v>3.63018430608864E-2</v>
      </c>
    </row>
    <row r="14" spans="1:31" x14ac:dyDescent="0.25">
      <c r="A14" s="11" t="s">
        <v>21</v>
      </c>
      <c r="B14" s="10">
        <v>43292.633333333331</v>
      </c>
      <c r="C14" s="6">
        <v>43295.260416666664</v>
      </c>
      <c r="D14" s="4">
        <v>9.31</v>
      </c>
      <c r="E14" s="5">
        <v>6.05</v>
      </c>
      <c r="F14" s="5">
        <f t="shared" si="9"/>
        <v>0.56325500000000006</v>
      </c>
      <c r="G14" s="4">
        <f t="shared" si="10"/>
        <v>1.8800000000000008</v>
      </c>
      <c r="H14" s="5">
        <f t="shared" si="19"/>
        <v>0.75516637977733092</v>
      </c>
      <c r="I14" s="7">
        <f t="shared" si="11"/>
        <v>63.049999999988358</v>
      </c>
      <c r="J14" s="8">
        <f t="shared" si="12"/>
        <v>1.6666666666666666E-2</v>
      </c>
      <c r="K14" s="4">
        <f t="shared" si="0"/>
        <v>0.50922725521345691</v>
      </c>
      <c r="L14" s="5">
        <f t="shared" si="13"/>
        <v>1.3460937224783265E-4</v>
      </c>
      <c r="M14" s="4">
        <f t="shared" si="1"/>
        <v>1.2456705863916457</v>
      </c>
      <c r="N14" s="5">
        <f t="shared" si="2"/>
        <v>0.50036635681504205</v>
      </c>
      <c r="O14" s="4">
        <f t="shared" si="3"/>
        <v>0.63432941360835515</v>
      </c>
      <c r="P14" s="5">
        <f t="shared" si="4"/>
        <v>0.25480024165516157</v>
      </c>
      <c r="Q14" s="4">
        <f t="shared" si="14"/>
        <v>1.8800000000000008</v>
      </c>
      <c r="R14" s="4">
        <v>0.81329999999999991</v>
      </c>
      <c r="S14" s="5">
        <v>1.4142135623730951E-4</v>
      </c>
      <c r="T14" s="4">
        <f t="shared" si="5"/>
        <v>1.531624967898249</v>
      </c>
      <c r="U14" s="5">
        <f t="shared" si="15"/>
        <v>0.61522980904732427</v>
      </c>
      <c r="V14" s="4">
        <f>SUM($T$2:T14)</f>
        <v>745.32804884919722</v>
      </c>
      <c r="W14" s="5">
        <f>SQRT((U14^2)+(U13^2)+(U12^2)+(U11^2)+(U10^2)+(U9^2)+(U8^2)+(U7^2)+(U6^2)+(U5^2)+(U4^2)+(U3^2)+(U2^2))</f>
        <v>4.9498122119643924</v>
      </c>
      <c r="X14" s="4">
        <f t="shared" si="6"/>
        <v>2.0761176439860762E-2</v>
      </c>
      <c r="Y14" s="5">
        <f t="shared" si="16"/>
        <v>8.3394392802507E-3</v>
      </c>
      <c r="Z14" s="17">
        <f t="shared" si="17"/>
        <v>6.9546247508988309E-5</v>
      </c>
      <c r="AA14" s="4">
        <f t="shared" si="7"/>
        <v>90.249999999941792</v>
      </c>
      <c r="AB14" s="9">
        <f t="shared" si="8"/>
        <v>0.9997520739074921</v>
      </c>
      <c r="AC14" s="4">
        <f t="shared" si="18"/>
        <v>2.0766324953662273E-2</v>
      </c>
    </row>
    <row r="15" spans="1:31" x14ac:dyDescent="0.25">
      <c r="A15" s="11" t="s">
        <v>22</v>
      </c>
      <c r="B15" s="10">
        <v>43292.634027777778</v>
      </c>
      <c r="C15" s="6">
        <v>43295.282638888886</v>
      </c>
      <c r="D15" s="4">
        <v>9.17</v>
      </c>
      <c r="E15" s="5">
        <v>6.1</v>
      </c>
      <c r="F15" s="5">
        <f t="shared" si="9"/>
        <v>0.55937000000000003</v>
      </c>
      <c r="G15" s="4">
        <f t="shared" si="10"/>
        <v>1.7400000000000002</v>
      </c>
      <c r="H15" s="5">
        <f t="shared" si="19"/>
        <v>0.7522731305988537</v>
      </c>
      <c r="I15" s="7">
        <f t="shared" si="11"/>
        <v>63.566666666592937</v>
      </c>
      <c r="J15" s="8">
        <f t="shared" si="12"/>
        <v>1.6666666666666666E-2</v>
      </c>
      <c r="K15" s="4">
        <f t="shared" si="0"/>
        <v>0.51208143966793918</v>
      </c>
      <c r="L15" s="5">
        <f t="shared" si="13"/>
        <v>1.3426361816165001E-4</v>
      </c>
      <c r="M15" s="4">
        <f t="shared" si="1"/>
        <v>1.1507316698379111</v>
      </c>
      <c r="N15" s="5">
        <f t="shared" si="2"/>
        <v>0.49750843387039023</v>
      </c>
      <c r="O15" s="4">
        <f t="shared" si="3"/>
        <v>0.58926833016208913</v>
      </c>
      <c r="P15" s="5">
        <f t="shared" si="4"/>
        <v>0.25476488191174967</v>
      </c>
      <c r="Q15" s="4">
        <f t="shared" si="14"/>
        <v>1.7400000000000002</v>
      </c>
      <c r="R15" s="4">
        <v>0.81329999999999991</v>
      </c>
      <c r="S15" s="5">
        <v>1.4142135623730951E-4</v>
      </c>
      <c r="T15" s="4">
        <f t="shared" si="5"/>
        <v>1.4148920076698772</v>
      </c>
      <c r="U15" s="5">
        <f t="shared" si="15"/>
        <v>0.61171581717606327</v>
      </c>
      <c r="V15" s="4">
        <f>SUM($T$2:T15)</f>
        <v>746.74294085686711</v>
      </c>
      <c r="W15" s="5">
        <f>SQRT((U15^2)+(U14^2)+(U13^2)+(U12^2)+(U11^2)+(U10^2)+(U9^2)+(U8^2)+(U7^2)+(U6^2)+(U5^2)+(U4^2)+(U3^2)+(U2^2))</f>
        <v>4.9874680123981951</v>
      </c>
      <c r="X15" s="4">
        <f t="shared" si="6"/>
        <v>1.9178861163965184E-2</v>
      </c>
      <c r="Y15" s="5">
        <f t="shared" si="16"/>
        <v>8.2918072311731709E-3</v>
      </c>
      <c r="Z15" s="17">
        <f t="shared" si="17"/>
        <v>6.8754067158935693E-5</v>
      </c>
      <c r="AA15" s="4">
        <f t="shared" si="7"/>
        <v>90.783333333267365</v>
      </c>
      <c r="AB15" s="9">
        <f t="shared" si="8"/>
        <v>0.99975060896832513</v>
      </c>
      <c r="AC15" s="4">
        <f t="shared" si="18"/>
        <v>1.918364539308105E-2</v>
      </c>
    </row>
    <row r="16" spans="1:31" x14ac:dyDescent="0.25">
      <c r="A16" s="11" t="s">
        <v>23</v>
      </c>
      <c r="B16" s="10">
        <v>43292.634722222225</v>
      </c>
      <c r="C16" s="6">
        <v>43295.305555555555</v>
      </c>
      <c r="D16" s="4">
        <v>9.58</v>
      </c>
      <c r="E16" s="5">
        <v>5.97</v>
      </c>
      <c r="F16" s="5">
        <f t="shared" si="9"/>
        <v>0.57192599999999993</v>
      </c>
      <c r="G16" s="4">
        <f t="shared" si="10"/>
        <v>2.1500000000000004</v>
      </c>
      <c r="H16" s="5">
        <f t="shared" si="19"/>
        <v>0.76165570673172267</v>
      </c>
      <c r="I16" s="7">
        <f t="shared" si="11"/>
        <v>64.099999999918509</v>
      </c>
      <c r="J16" s="8">
        <f t="shared" si="12"/>
        <v>1.6666666666666666E-2</v>
      </c>
      <c r="K16" s="4">
        <f t="shared" si="0"/>
        <v>0.5150102847969551</v>
      </c>
      <c r="L16" s="5">
        <f t="shared" si="13"/>
        <v>1.3390803036859329E-4</v>
      </c>
      <c r="M16" s="4">
        <f t="shared" si="1"/>
        <v>1.4191322802063671</v>
      </c>
      <c r="N16" s="5">
        <f t="shared" si="2"/>
        <v>0.50273976323724856</v>
      </c>
      <c r="O16" s="4">
        <f t="shared" si="3"/>
        <v>0.73086771979363341</v>
      </c>
      <c r="P16" s="5">
        <f t="shared" si="4"/>
        <v>0.25891621838162077</v>
      </c>
      <c r="Q16" s="4">
        <f t="shared" si="14"/>
        <v>2.1500000000000004</v>
      </c>
      <c r="R16" s="4">
        <v>0.82779999999999987</v>
      </c>
      <c r="S16" s="5">
        <v>1.4142135623730951E-4</v>
      </c>
      <c r="T16" s="4">
        <f t="shared" si="5"/>
        <v>1.7143419669079092</v>
      </c>
      <c r="U16" s="5">
        <f t="shared" si="15"/>
        <v>0.60732039344803679</v>
      </c>
      <c r="V16" s="4">
        <f>SUM($T$2:T16)</f>
        <v>748.45728282377502</v>
      </c>
      <c r="W16" s="5">
        <f>SQRT((U16^2)+(U15^2)+(U14^2)+(U13^2)+(U12^2)+(U11^2)+(U10^2)+(U9^2)+(U8^2)+(U7^2)+(U6^2)+(U5^2)+(U4^2)+(U3^2)+(U2^2))</f>
        <v>5.02430843350536</v>
      </c>
      <c r="X16" s="4">
        <f t="shared" si="6"/>
        <v>2.3652204670106116E-2</v>
      </c>
      <c r="Y16" s="5">
        <f t="shared" si="16"/>
        <v>8.3789960539541412E-3</v>
      </c>
      <c r="Z16" s="17">
        <f t="shared" si="17"/>
        <v>7.0207574872179062E-5</v>
      </c>
      <c r="AA16" s="4">
        <f t="shared" si="7"/>
        <v>91.333333333313931</v>
      </c>
      <c r="AB16" s="9">
        <f t="shared" si="8"/>
        <v>0.99974909825205727</v>
      </c>
      <c r="AC16" s="4">
        <f t="shared" si="18"/>
        <v>2.3658140538920406E-2</v>
      </c>
    </row>
    <row r="17" spans="1:29" ht="15.75" thickBot="1" x14ac:dyDescent="0.3">
      <c r="A17" s="12" t="s">
        <v>24</v>
      </c>
      <c r="B17" s="10">
        <v>43292.625</v>
      </c>
      <c r="C17" s="6">
        <v>43295.32916666667</v>
      </c>
      <c r="D17" s="4">
        <v>7.43</v>
      </c>
      <c r="E17" s="5">
        <v>6.77</v>
      </c>
      <c r="F17" s="5">
        <f t="shared" si="9"/>
        <v>0.50301099999999999</v>
      </c>
      <c r="G17" s="4">
        <f t="shared" si="10"/>
        <v>0</v>
      </c>
      <c r="H17" s="5">
        <f t="shared" si="19"/>
        <v>0.71136497822285283</v>
      </c>
      <c r="I17" s="7">
        <f t="shared" si="11"/>
        <v>64.900000000081491</v>
      </c>
      <c r="J17" s="8">
        <f t="shared" si="12"/>
        <v>1.6666666666666666E-2</v>
      </c>
      <c r="K17" s="4">
        <f t="shared" si="0"/>
        <v>0.51937062097633846</v>
      </c>
      <c r="L17" s="5">
        <f t="shared" si="13"/>
        <v>1.3337714971127024E-4</v>
      </c>
      <c r="M17" s="4">
        <f t="shared" si="1"/>
        <v>0</v>
      </c>
      <c r="N17" s="5" t="e">
        <f t="shared" si="2"/>
        <v>#DIV/0!</v>
      </c>
      <c r="O17" s="4">
        <f t="shared" si="3"/>
        <v>0</v>
      </c>
      <c r="P17" s="5" t="e">
        <f t="shared" si="4"/>
        <v>#DIV/0!</v>
      </c>
      <c r="Q17" s="4"/>
      <c r="R17" s="4"/>
      <c r="S17" s="5">
        <v>1E-4</v>
      </c>
      <c r="T17" s="4"/>
      <c r="U17" s="5"/>
      <c r="V17" s="4"/>
      <c r="W17" s="5"/>
      <c r="X17" s="4">
        <f t="shared" si="6"/>
        <v>0</v>
      </c>
      <c r="Y17" s="5"/>
      <c r="Z17" s="5"/>
      <c r="AA17" s="4"/>
      <c r="AB17" s="4"/>
      <c r="AC17" s="4"/>
    </row>
    <row r="22" spans="1:29" x14ac:dyDescent="0.25">
      <c r="Y22" s="26" t="s">
        <v>44</v>
      </c>
      <c r="Z22" s="26"/>
    </row>
    <row r="23" spans="1:29" x14ac:dyDescent="0.25">
      <c r="W23" s="3" t="s">
        <v>47</v>
      </c>
      <c r="X23" s="2">
        <f>SUM(X2:X17)</f>
        <v>10.358517152622975</v>
      </c>
      <c r="Y23" s="3">
        <f>SQRT(SUM(Z2:Z16))</f>
        <v>6.9894635328863419E-2</v>
      </c>
      <c r="AB23" s="2"/>
      <c r="AC23">
        <f>SUM(AC2:AC16)</f>
        <v>10.36098571790113</v>
      </c>
    </row>
    <row r="28" spans="1:29" x14ac:dyDescent="0.25">
      <c r="I28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CT13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2022-04-18T12:44:03Z</dcterms:modified>
</cp:coreProperties>
</file>